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es\Finance administration\NEF Budgets &amp; Financial Reports\"/>
    </mc:Choice>
  </mc:AlternateContent>
  <bookViews>
    <workbookView xWindow="0" yWindow="0" windowWidth="19200" windowHeight="6730"/>
  </bookViews>
  <sheets>
    <sheet name="BALANCE SHEET 2017-18-19-20" sheetId="1" r:id="rId1"/>
    <sheet name="PL 2017-18-19-20" sheetId="4" r:id="rId2"/>
    <sheet name="Feuil2" sheetId="2" state="hidden" r:id="rId3"/>
    <sheet name="Feuil3" sheetId="3" state="hidden" r:id="rId4"/>
  </sheets>
  <definedNames>
    <definedName name="_xlnm.Print_Area" localSheetId="1">'PL 2017-18-19-20'!$A$1:$E$46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3" i="1" l="1"/>
  <c r="H14" i="4"/>
  <c r="H44" i="4"/>
  <c r="H46" i="4"/>
  <c r="P23" i="1"/>
  <c r="H12" i="4"/>
  <c r="H31" i="4"/>
  <c r="H30" i="4"/>
  <c r="H25" i="4"/>
  <c r="G14" i="4"/>
  <c r="G25" i="4"/>
  <c r="G30" i="4"/>
  <c r="G31" i="4"/>
  <c r="G18" i="4"/>
  <c r="G44" i="4"/>
  <c r="G46" i="4"/>
  <c r="P30" i="1"/>
  <c r="H31" i="1"/>
  <c r="H16" i="1"/>
  <c r="H28" i="1"/>
  <c r="H10" i="1"/>
  <c r="H15" i="1"/>
  <c r="H8" i="1"/>
  <c r="H44" i="1"/>
  <c r="O30" i="1"/>
  <c r="O33" i="1"/>
  <c r="O37" i="1"/>
  <c r="O28" i="1"/>
  <c r="O13" i="1"/>
  <c r="O8" i="1"/>
  <c r="O44" i="1"/>
  <c r="P33" i="1"/>
  <c r="P37" i="1"/>
  <c r="P28" i="1"/>
  <c r="H18" i="4"/>
  <c r="N23" i="1"/>
  <c r="G28" i="1"/>
  <c r="G11" i="1"/>
  <c r="G12" i="1"/>
  <c r="G10" i="1"/>
  <c r="G16" i="1"/>
  <c r="G15" i="1"/>
  <c r="G8" i="1"/>
  <c r="G44" i="1"/>
  <c r="P13" i="1"/>
  <c r="P8" i="1"/>
  <c r="P44" i="1"/>
  <c r="F10" i="1"/>
  <c r="F16" i="1"/>
  <c r="F15" i="1"/>
  <c r="F8" i="1"/>
  <c r="F44" i="4"/>
  <c r="F46" i="4"/>
  <c r="F14" i="4"/>
  <c r="F21" i="4"/>
  <c r="F39" i="4"/>
  <c r="F8" i="4"/>
  <c r="F11" i="4"/>
  <c r="F36" i="1"/>
  <c r="F28" i="1"/>
  <c r="F44" i="1"/>
  <c r="F41" i="4"/>
  <c r="N37" i="1"/>
  <c r="N33" i="1"/>
  <c r="N13" i="1"/>
  <c r="N8" i="1"/>
  <c r="F31" i="4"/>
  <c r="F30" i="4"/>
  <c r="F25" i="4"/>
  <c r="N28" i="1"/>
  <c r="N44" i="1"/>
  <c r="F18" i="4"/>
  <c r="E31" i="4"/>
  <c r="E30" i="4"/>
  <c r="E27" i="4"/>
  <c r="E26" i="4"/>
  <c r="E25" i="4"/>
  <c r="E21" i="4"/>
  <c r="C33" i="4"/>
  <c r="D30" i="4"/>
  <c r="C30" i="4"/>
  <c r="D28" i="4"/>
  <c r="C27" i="4"/>
  <c r="C23" i="4"/>
  <c r="D14" i="4"/>
  <c r="C8" i="4"/>
  <c r="C14" i="4"/>
  <c r="M40" i="1"/>
  <c r="L40" i="1"/>
  <c r="L37" i="1"/>
  <c r="L28" i="1"/>
  <c r="L13" i="1"/>
  <c r="L8" i="1"/>
  <c r="L44" i="1"/>
  <c r="M30" i="1"/>
  <c r="D8" i="1"/>
  <c r="D28" i="1"/>
  <c r="D44" i="1"/>
  <c r="E31" i="1"/>
  <c r="D18" i="4"/>
  <c r="D44" i="4"/>
  <c r="C18" i="4"/>
  <c r="C44" i="4"/>
  <c r="C46" i="4"/>
  <c r="D46" i="4"/>
  <c r="E28" i="1"/>
  <c r="M13" i="1"/>
  <c r="M8" i="1"/>
  <c r="E18" i="4"/>
  <c r="E14" i="4"/>
  <c r="M33" i="1"/>
  <c r="M37" i="1"/>
  <c r="E16" i="1"/>
  <c r="E15" i="1"/>
  <c r="E10" i="1"/>
  <c r="E44" i="4"/>
  <c r="E46" i="4"/>
  <c r="E8" i="1"/>
  <c r="E44" i="1"/>
  <c r="M28" i="1"/>
  <c r="M44" i="1"/>
</calcChain>
</file>

<file path=xl/sharedStrings.xml><?xml version="1.0" encoding="utf-8"?>
<sst xmlns="http://schemas.openxmlformats.org/spreadsheetml/2006/main" count="79" uniqueCount="76">
  <si>
    <t>RESERVES</t>
  </si>
  <si>
    <t>550/570</t>
  </si>
  <si>
    <t>455/456</t>
  </si>
  <si>
    <t xml:space="preserve"> </t>
  </si>
  <si>
    <t>CAPITAL</t>
  </si>
  <si>
    <t>ASSETS</t>
  </si>
  <si>
    <t>FIXED ASSETS</t>
  </si>
  <si>
    <t>EQUIPMENT</t>
  </si>
  <si>
    <t>Equipment</t>
  </si>
  <si>
    <t>Equipment depreciations</t>
  </si>
  <si>
    <t>FURNITURE</t>
  </si>
  <si>
    <t>Furniture</t>
  </si>
  <si>
    <t>Furniture depreciations</t>
  </si>
  <si>
    <t>CASH GUARANTEES</t>
  </si>
  <si>
    <t>CURRENT ASSETS</t>
  </si>
  <si>
    <t>ACCOUNTS RECEIVABLE</t>
  </si>
  <si>
    <t>BONDS, SECURITIES &amp; DEPOSITS</t>
  </si>
  <si>
    <t>CASH &amp; BANK</t>
  </si>
  <si>
    <t>ACCRUALS AND DEFERRED INCOME</t>
  </si>
  <si>
    <t>Deferred charges</t>
  </si>
  <si>
    <t>Deferred income</t>
  </si>
  <si>
    <t>Social charges and wages</t>
  </si>
  <si>
    <t>Taxes</t>
  </si>
  <si>
    <t>Starting funds</t>
  </si>
  <si>
    <t>CURRENT LIABILITIES</t>
  </si>
  <si>
    <t>TOTAL LIABILITIES</t>
  </si>
  <si>
    <t>LIABILITIES</t>
  </si>
  <si>
    <t>TOTAL ASSETS</t>
  </si>
  <si>
    <t>ACCRUED INCOME</t>
  </si>
  <si>
    <t>DEFERRED CHARGES</t>
  </si>
  <si>
    <t>General reserve</t>
  </si>
  <si>
    <t>Social reserve</t>
  </si>
  <si>
    <t>SUPPLIERS AND COMMERCIAL DEBTS</t>
  </si>
  <si>
    <t xml:space="preserve">Funds Reserves </t>
  </si>
  <si>
    <t xml:space="preserve">EQUITY </t>
  </si>
  <si>
    <t xml:space="preserve">ACCUMULATED RESULTS </t>
  </si>
  <si>
    <t>OTHERS DEBTS</t>
  </si>
  <si>
    <t>MEMBERSHIP FEES</t>
  </si>
  <si>
    <t>RECUP. NEF STAFF COSTS</t>
  </si>
  <si>
    <t>FINANCING OF PROJECTS</t>
  </si>
  <si>
    <t>OTHER OPERATING ITEMS</t>
  </si>
  <si>
    <t>FINANCIAL INCOME</t>
  </si>
  <si>
    <t>EXCEPTIONAL ITEMS</t>
  </si>
  <si>
    <t>RUNNING COSTS</t>
  </si>
  <si>
    <t>RENT</t>
  </si>
  <si>
    <t>STATIONARY &amp; OFFICE MATERIALS</t>
  </si>
  <si>
    <t>POSTAL CHARGES</t>
  </si>
  <si>
    <t>COSTS SOCIAL SECRETARIAT</t>
  </si>
  <si>
    <t>INSURANCE</t>
  </si>
  <si>
    <t>TRAVEL COSTS</t>
  </si>
  <si>
    <t>LUNCH/ACCOMMODATION COSTS</t>
  </si>
  <si>
    <t>MEETING COSTS</t>
  </si>
  <si>
    <t>PUBLICATIONS</t>
  </si>
  <si>
    <t>OTHER COSTS</t>
  </si>
  <si>
    <t>STAFF (INCL. SOCIAL CHARGES)</t>
  </si>
  <si>
    <t>DEPRECIATIONS</t>
  </si>
  <si>
    <t>PROVISIONS</t>
  </si>
  <si>
    <t>PROJECT COSTS</t>
  </si>
  <si>
    <r>
      <t xml:space="preserve">PROFITS/LOSSES </t>
    </r>
    <r>
      <rPr>
        <b/>
        <sz val="10"/>
        <color indexed="10"/>
        <rFont val="Arial"/>
        <family val="2"/>
      </rPr>
      <t>(*)</t>
    </r>
  </si>
  <si>
    <t>(*) before allocation</t>
  </si>
  <si>
    <t>CONSULTANCY FEES &amp; SERVICE PROVIDERS</t>
  </si>
  <si>
    <t xml:space="preserve">COMMUNICATION </t>
  </si>
  <si>
    <t>INCOMES</t>
  </si>
  <si>
    <t>TOTAL  INCOMES</t>
  </si>
  <si>
    <t>FINANCIAL COSTS</t>
  </si>
  <si>
    <t>EXPENDITURES</t>
  </si>
  <si>
    <t>TOTAL  EXPENDITURES</t>
  </si>
  <si>
    <t>DEBTORS</t>
  </si>
  <si>
    <t xml:space="preserve">Funds projects to carry forward </t>
  </si>
  <si>
    <t>FISCAL AND SOCIAL DEBTS</t>
  </si>
  <si>
    <t>BALANCE SHEET AS OF 31/DEC/2015-2016-2017-2018</t>
  </si>
  <si>
    <t>BALANCE SHEET STATEMENT 31/12/2016-2017-2018</t>
  </si>
  <si>
    <t>COST CONTRIBUTIONS FROM PROJECTS</t>
  </si>
  <si>
    <t>Epim social reserve</t>
  </si>
  <si>
    <t>Civitates social reserve</t>
  </si>
  <si>
    <t>PROFIT AND LOSS STATEMENT 31/12/2017-2018-2019-2020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</si>
</sst>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name val="Times New Roman"/>
      <family val="1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1" fillId="0" borderId="0"/>
  </cellStyleXfs>
  <cellXfs count="127">
    <xf numFmtId="0" fontId="0" fillId="0" borderId="0" xfId="0"/>
    <xf numFmtId="4" fontId="0" fillId="0" borderId="0" xfId="0" applyNumberFormat="1"/>
    <xf numFmtId="0" fontId="3" fillId="0" borderId="0" xfId="0" applyFont="1"/>
    <xf numFmtId="0" fontId="2" fillId="0" borderId="0" xfId="0" applyFont="1"/>
    <xf numFmtId="14" fontId="0" fillId="0" borderId="0" xfId="0" applyNumberFormat="1"/>
    <xf numFmtId="14" fontId="6" fillId="0" borderId="0" xfId="0" applyNumberFormat="1" applyFont="1"/>
    <xf numFmtId="0" fontId="0" fillId="0" borderId="0" xfId="0" applyAlignment="1">
      <alignment horizontal="center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/>
    <xf numFmtId="0" fontId="3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5" xfId="0" applyBorder="1"/>
    <xf numFmtId="0" fontId="0" fillId="0" borderId="7" xfId="0" applyBorder="1"/>
    <xf numFmtId="0" fontId="5" fillId="0" borderId="8" xfId="0" applyFont="1" applyBorder="1"/>
    <xf numFmtId="0" fontId="5" fillId="0" borderId="0" xfId="0" applyFont="1"/>
    <xf numFmtId="0" fontId="0" fillId="0" borderId="8" xfId="0" applyBorder="1"/>
    <xf numFmtId="0" fontId="0" fillId="0" borderId="0" xfId="0" applyProtection="1">
      <protection locked="0"/>
    </xf>
    <xf numFmtId="0" fontId="3" fillId="0" borderId="8" xfId="0" applyFont="1" applyBorder="1"/>
    <xf numFmtId="0" fontId="3" fillId="0" borderId="8" xfId="0" applyFont="1" applyBorder="1" applyProtection="1">
      <protection locked="0"/>
    </xf>
    <xf numFmtId="0" fontId="0" fillId="0" borderId="6" xfId="0" applyBorder="1"/>
    <xf numFmtId="3" fontId="5" fillId="0" borderId="1" xfId="0" applyNumberFormat="1" applyFont="1" applyBorder="1"/>
    <xf numFmtId="3" fontId="5" fillId="0" borderId="9" xfId="0" applyNumberFormat="1" applyFont="1" applyBorder="1"/>
    <xf numFmtId="3" fontId="0" fillId="0" borderId="1" xfId="0" applyNumberFormat="1" applyBorder="1"/>
    <xf numFmtId="3" fontId="0" fillId="0" borderId="1" xfId="0" applyNumberFormat="1" applyBorder="1" applyProtection="1">
      <protection locked="0"/>
    </xf>
    <xf numFmtId="3" fontId="3" fillId="0" borderId="1" xfId="0" applyNumberFormat="1" applyFont="1" applyBorder="1"/>
    <xf numFmtId="3" fontId="8" fillId="0" borderId="1" xfId="0" applyNumberFormat="1" applyFont="1" applyBorder="1"/>
    <xf numFmtId="3" fontId="8" fillId="0" borderId="9" xfId="0" applyNumberFormat="1" applyFont="1" applyBorder="1"/>
    <xf numFmtId="3" fontId="3" fillId="0" borderId="9" xfId="0" applyNumberFormat="1" applyFont="1" applyBorder="1"/>
    <xf numFmtId="3" fontId="3" fillId="0" borderId="1" xfId="0" applyNumberFormat="1" applyFont="1" applyBorder="1" applyProtection="1">
      <protection locked="0"/>
    </xf>
    <xf numFmtId="0" fontId="0" fillId="0" borderId="10" xfId="0" applyBorder="1"/>
    <xf numFmtId="3" fontId="0" fillId="0" borderId="10" xfId="0" applyNumberFormat="1" applyBorder="1"/>
    <xf numFmtId="3" fontId="5" fillId="0" borderId="10" xfId="0" applyNumberFormat="1" applyFont="1" applyBorder="1"/>
    <xf numFmtId="3" fontId="4" fillId="0" borderId="10" xfId="0" applyNumberFormat="1" applyFont="1" applyBorder="1"/>
    <xf numFmtId="0" fontId="0" fillId="0" borderId="12" xfId="0" applyBorder="1"/>
    <xf numFmtId="3" fontId="0" fillId="0" borderId="12" xfId="0" applyNumberFormat="1" applyBorder="1"/>
    <xf numFmtId="3" fontId="5" fillId="0" borderId="12" xfId="0" applyNumberFormat="1" applyFont="1" applyBorder="1"/>
    <xf numFmtId="3" fontId="4" fillId="0" borderId="12" xfId="0" applyNumberFormat="1" applyFont="1" applyBorder="1"/>
    <xf numFmtId="0" fontId="0" fillId="0" borderId="13" xfId="0" applyBorder="1"/>
    <xf numFmtId="3" fontId="0" fillId="0" borderId="13" xfId="0" applyNumberFormat="1" applyBorder="1"/>
    <xf numFmtId="3" fontId="0" fillId="0" borderId="14" xfId="0" applyNumberFormat="1" applyBorder="1"/>
    <xf numFmtId="0" fontId="3" fillId="0" borderId="15" xfId="0" applyFont="1" applyBorder="1"/>
    <xf numFmtId="3" fontId="3" fillId="0" borderId="15" xfId="0" applyNumberFormat="1" applyFont="1" applyBorder="1"/>
    <xf numFmtId="3" fontId="3" fillId="0" borderId="16" xfId="0" applyNumberFormat="1" applyFont="1" applyBorder="1"/>
    <xf numFmtId="0" fontId="0" fillId="0" borderId="18" xfId="0" applyBorder="1"/>
    <xf numFmtId="3" fontId="0" fillId="0" borderId="18" xfId="0" applyNumberFormat="1" applyBorder="1"/>
    <xf numFmtId="3" fontId="0" fillId="0" borderId="19" xfId="0" applyNumberFormat="1" applyBorder="1"/>
    <xf numFmtId="0" fontId="0" fillId="0" borderId="19" xfId="0" quotePrefix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6" xfId="0" applyFont="1" applyBorder="1"/>
    <xf numFmtId="0" fontId="0" fillId="0" borderId="14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3" fillId="0" borderId="20" xfId="0" applyFont="1" applyBorder="1"/>
    <xf numFmtId="0" fontId="5" fillId="0" borderId="23" xfId="0" applyFont="1" applyBorder="1"/>
    <xf numFmtId="0" fontId="4" fillId="0" borderId="23" xfId="0" applyFont="1" applyBorder="1"/>
    <xf numFmtId="0" fontId="0" fillId="0" borderId="23" xfId="0" applyBorder="1"/>
    <xf numFmtId="0" fontId="0" fillId="0" borderId="23" xfId="0" applyBorder="1" applyAlignment="1">
      <alignment horizontal="right"/>
    </xf>
    <xf numFmtId="0" fontId="3" fillId="0" borderId="11" xfId="0" applyFont="1" applyBorder="1"/>
    <xf numFmtId="0" fontId="0" fillId="0" borderId="24" xfId="0" applyBorder="1"/>
    <xf numFmtId="0" fontId="0" fillId="0" borderId="25" xfId="0" applyBorder="1"/>
    <xf numFmtId="0" fontId="4" fillId="0" borderId="3" xfId="0" applyFont="1" applyBorder="1"/>
    <xf numFmtId="0" fontId="5" fillId="0" borderId="3" xfId="0" applyFont="1" applyBorder="1"/>
    <xf numFmtId="0" fontId="0" fillId="0" borderId="3" xfId="0" applyBorder="1"/>
    <xf numFmtId="0" fontId="3" fillId="0" borderId="24" xfId="0" applyFont="1" applyBorder="1"/>
    <xf numFmtId="0" fontId="3" fillId="0" borderId="21" xfId="0" applyFont="1" applyBorder="1"/>
    <xf numFmtId="3" fontId="3" fillId="0" borderId="18" xfId="0" applyNumberFormat="1" applyFont="1" applyBorder="1"/>
    <xf numFmtId="3" fontId="3" fillId="0" borderId="19" xfId="0" applyNumberFormat="1" applyFont="1" applyBorder="1"/>
    <xf numFmtId="0" fontId="3" fillId="0" borderId="26" xfId="0" applyFont="1" applyBorder="1" applyAlignment="1">
      <alignment horizontal="center"/>
    </xf>
    <xf numFmtId="0" fontId="3" fillId="0" borderId="17" xfId="0" applyFont="1" applyBorder="1"/>
    <xf numFmtId="0" fontId="9" fillId="0" borderId="4" xfId="0" applyFont="1" applyBorder="1"/>
    <xf numFmtId="0" fontId="9" fillId="0" borderId="8" xfId="0" applyFont="1" applyBorder="1"/>
    <xf numFmtId="0" fontId="0" fillId="0" borderId="1" xfId="0" applyBorder="1"/>
    <xf numFmtId="0" fontId="0" fillId="0" borderId="9" xfId="0" applyBorder="1"/>
    <xf numFmtId="0" fontId="3" fillId="0" borderId="26" xfId="0" applyFont="1" applyBorder="1"/>
    <xf numFmtId="3" fontId="3" fillId="0" borderId="11" xfId="0" applyNumberFormat="1" applyFont="1" applyBorder="1"/>
    <xf numFmtId="3" fontId="3" fillId="0" borderId="27" xfId="0" applyNumberFormat="1" applyFont="1" applyBorder="1"/>
    <xf numFmtId="0" fontId="3" fillId="0" borderId="26" xfId="0" applyFont="1" applyBorder="1" applyProtection="1">
      <protection locked="0"/>
    </xf>
    <xf numFmtId="0" fontId="5" fillId="0" borderId="0" xfId="0" applyFont="1" applyAlignment="1">
      <alignment horizontal="left"/>
    </xf>
    <xf numFmtId="0" fontId="3" fillId="0" borderId="2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23" xfId="0" applyFont="1" applyBorder="1"/>
    <xf numFmtId="3" fontId="3" fillId="0" borderId="10" xfId="0" applyNumberFormat="1" applyFont="1" applyBorder="1"/>
    <xf numFmtId="3" fontId="3" fillId="0" borderId="12" xfId="0" applyNumberFormat="1" applyFont="1" applyBorder="1"/>
    <xf numFmtId="0" fontId="3" fillId="0" borderId="23" xfId="0" applyFont="1" applyBorder="1" applyAlignment="1">
      <alignment horizontal="right"/>
    </xf>
    <xf numFmtId="3" fontId="0" fillId="0" borderId="0" xfId="0" applyNumberFormat="1"/>
    <xf numFmtId="0" fontId="3" fillId="0" borderId="28" xfId="0" applyFont="1" applyBorder="1"/>
    <xf numFmtId="0" fontId="0" fillId="0" borderId="29" xfId="0" applyBorder="1"/>
    <xf numFmtId="0" fontId="0" fillId="0" borderId="30" xfId="0" applyBorder="1"/>
    <xf numFmtId="3" fontId="3" fillId="0" borderId="28" xfId="0" applyNumberFormat="1" applyFont="1" applyBorder="1"/>
    <xf numFmtId="3" fontId="0" fillId="0" borderId="29" xfId="0" applyNumberFormat="1" applyBorder="1"/>
    <xf numFmtId="3" fontId="3" fillId="0" borderId="31" xfId="0" applyNumberFormat="1" applyFont="1" applyBorder="1"/>
    <xf numFmtId="3" fontId="4" fillId="0" borderId="31" xfId="0" applyNumberFormat="1" applyFont="1" applyBorder="1"/>
    <xf numFmtId="3" fontId="5" fillId="0" borderId="31" xfId="0" applyNumberFormat="1" applyFont="1" applyBorder="1"/>
    <xf numFmtId="3" fontId="0" fillId="0" borderId="30" xfId="0" applyNumberFormat="1" applyBorder="1"/>
    <xf numFmtId="3" fontId="3" fillId="0" borderId="29" xfId="0" applyNumberFormat="1" applyFont="1" applyBorder="1"/>
    <xf numFmtId="3" fontId="0" fillId="0" borderId="31" xfId="0" applyNumberFormat="1" applyBorder="1"/>
    <xf numFmtId="0" fontId="0" fillId="0" borderId="31" xfId="0" applyBorder="1"/>
    <xf numFmtId="0" fontId="0" fillId="0" borderId="24" xfId="0" applyBorder="1" applyAlignment="1">
      <alignment horizontal="center"/>
    </xf>
    <xf numFmtId="3" fontId="0" fillId="0" borderId="24" xfId="0" applyNumberFormat="1" applyBorder="1"/>
    <xf numFmtId="3" fontId="3" fillId="0" borderId="3" xfId="0" applyNumberFormat="1" applyFont="1" applyBorder="1"/>
    <xf numFmtId="3" fontId="4" fillId="0" borderId="3" xfId="0" applyNumberFormat="1" applyFont="1" applyBorder="1"/>
    <xf numFmtId="3" fontId="5" fillId="0" borderId="3" xfId="0" applyNumberFormat="1" applyFont="1" applyBorder="1"/>
    <xf numFmtId="3" fontId="0" fillId="0" borderId="25" xfId="0" applyNumberFormat="1" applyBorder="1"/>
    <xf numFmtId="3" fontId="3" fillId="0" borderId="24" xfId="0" applyNumberFormat="1" applyFont="1" applyBorder="1"/>
    <xf numFmtId="3" fontId="0" fillId="0" borderId="3" xfId="0" applyNumberFormat="1" applyBorder="1"/>
    <xf numFmtId="0" fontId="0" fillId="0" borderId="24" xfId="0" quotePrefix="1" applyBorder="1" applyAlignment="1">
      <alignment horizontal="center"/>
    </xf>
    <xf numFmtId="3" fontId="2" fillId="0" borderId="0" xfId="0" applyNumberFormat="1" applyFont="1" applyFill="1" applyBorder="1"/>
    <xf numFmtId="4" fontId="0" fillId="0" borderId="1" xfId="0" applyNumberFormat="1" applyBorder="1"/>
    <xf numFmtId="3" fontId="3" fillId="0" borderId="1" xfId="0" applyNumberFormat="1" applyFont="1" applyFill="1" applyBorder="1"/>
    <xf numFmtId="3" fontId="8" fillId="0" borderId="1" xfId="0" applyNumberFormat="1" applyFont="1" applyFill="1" applyBorder="1"/>
    <xf numFmtId="0" fontId="3" fillId="0" borderId="0" xfId="0" applyFont="1" applyBorder="1"/>
    <xf numFmtId="3" fontId="3" fillId="0" borderId="8" xfId="0" applyNumberFormat="1" applyFont="1" applyBorder="1"/>
    <xf numFmtId="0" fontId="2" fillId="0" borderId="12" xfId="0" applyFont="1" applyBorder="1"/>
    <xf numFmtId="0" fontId="2" fillId="0" borderId="3" xfId="0" applyFont="1" applyBorder="1"/>
    <xf numFmtId="0" fontId="0" fillId="0" borderId="32" xfId="0" applyBorder="1"/>
    <xf numFmtId="0" fontId="0" fillId="0" borderId="33" xfId="0" applyBorder="1"/>
    <xf numFmtId="3" fontId="3" fillId="0" borderId="0" xfId="0" applyNumberFormat="1" applyFont="1" applyBorder="1"/>
    <xf numFmtId="0" fontId="0" fillId="0" borderId="0" xfId="0" applyBorder="1"/>
    <xf numFmtId="0" fontId="2" fillId="0" borderId="0" xfId="0" applyFont="1" applyBorder="1"/>
    <xf numFmtId="3" fontId="5" fillId="0" borderId="0" xfId="0" applyNumberFormat="1" applyFont="1" applyBorder="1"/>
    <xf numFmtId="3" fontId="4" fillId="0" borderId="0" xfId="0" applyNumberFormat="1" applyFont="1" applyBorder="1"/>
    <xf numFmtId="3" fontId="0" fillId="0" borderId="0" xfId="0" applyNumberFormat="1" applyBorder="1"/>
  </cellXfs>
  <cellStyles count="6">
    <cellStyle name="Milliers 2" xfId="2"/>
    <cellStyle name="Normal" xfId="0" builtinId="0"/>
    <cellStyle name="Normal 2" xfId="4"/>
    <cellStyle name="Normal 3" xfId="5"/>
    <cellStyle name="Normal 4" xfId="1"/>
    <cellStyle name="Pourcentag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zoomScaleNormal="100" workbookViewId="0">
      <selection activeCell="I16" sqref="I16"/>
    </sheetView>
  </sheetViews>
  <sheetFormatPr defaultColWidth="8.81640625" defaultRowHeight="12.5" x14ac:dyDescent="0.25"/>
  <cols>
    <col min="1" max="1" width="40.7265625" customWidth="1"/>
    <col min="2" max="2" width="10.54296875" hidden="1" customWidth="1"/>
    <col min="3" max="3" width="15.7265625" hidden="1" customWidth="1"/>
    <col min="4" max="4" width="9.1796875" hidden="1" customWidth="1"/>
    <col min="5" max="6" width="9.1796875" bestFit="1" customWidth="1"/>
    <col min="7" max="8" width="9.1796875" customWidth="1"/>
    <col min="9" max="9" width="40.7265625" customWidth="1"/>
    <col min="10" max="10" width="10.54296875" hidden="1" customWidth="1"/>
    <col min="11" max="11" width="15.7265625" hidden="1" customWidth="1"/>
    <col min="12" max="12" width="9.1796875" hidden="1" customWidth="1"/>
    <col min="13" max="16" width="9.1796875" bestFit="1" customWidth="1"/>
    <col min="17" max="17" width="9.1796875" customWidth="1"/>
  </cols>
  <sheetData>
    <row r="1" spans="1:17" ht="20" x14ac:dyDescent="0.4">
      <c r="A1" s="2"/>
      <c r="C1" s="5" t="s">
        <v>70</v>
      </c>
    </row>
    <row r="2" spans="1:17" ht="20" x14ac:dyDescent="0.4">
      <c r="D2" s="7" t="s">
        <v>71</v>
      </c>
    </row>
    <row r="3" spans="1:17" ht="13" x14ac:dyDescent="0.3">
      <c r="D3" s="2"/>
      <c r="E3" s="2"/>
      <c r="F3" s="2"/>
      <c r="G3" s="2"/>
      <c r="H3" s="2"/>
    </row>
    <row r="4" spans="1:17" ht="13" thickBot="1" x14ac:dyDescent="0.3">
      <c r="C4" s="4"/>
    </row>
    <row r="5" spans="1:17" s="2" customFormat="1" ht="13.5" thickBot="1" x14ac:dyDescent="0.35">
      <c r="A5" s="59" t="s">
        <v>5</v>
      </c>
      <c r="B5" s="54"/>
      <c r="C5" s="41">
        <v>2015</v>
      </c>
      <c r="D5" s="90">
        <v>2016</v>
      </c>
      <c r="E5" s="59">
        <v>2017</v>
      </c>
      <c r="F5" s="49">
        <v>2018</v>
      </c>
      <c r="G5" s="59">
        <v>2019</v>
      </c>
      <c r="H5" s="59">
        <v>2020</v>
      </c>
      <c r="I5" s="59" t="s">
        <v>26</v>
      </c>
      <c r="J5" s="51"/>
      <c r="K5" s="41">
        <v>2015</v>
      </c>
      <c r="L5" s="90">
        <v>2016</v>
      </c>
      <c r="M5" s="59">
        <v>2017</v>
      </c>
      <c r="N5" s="49">
        <v>2018</v>
      </c>
      <c r="O5" s="59">
        <v>2019</v>
      </c>
      <c r="P5" s="59">
        <v>2020</v>
      </c>
      <c r="Q5" s="115"/>
    </row>
    <row r="6" spans="1:17" x14ac:dyDescent="0.25">
      <c r="A6" s="60"/>
      <c r="B6" s="52"/>
      <c r="C6" s="44"/>
      <c r="D6" s="91"/>
      <c r="E6" s="110"/>
      <c r="F6" s="47"/>
      <c r="G6" s="110"/>
      <c r="H6" s="110"/>
      <c r="I6" s="60"/>
      <c r="J6" s="52"/>
      <c r="K6" s="44"/>
      <c r="L6" s="91"/>
      <c r="M6" s="102"/>
      <c r="N6" s="48"/>
      <c r="O6" s="120"/>
      <c r="P6" s="120"/>
      <c r="Q6" s="122"/>
    </row>
    <row r="7" spans="1:17" ht="13" thickBot="1" x14ac:dyDescent="0.3">
      <c r="A7" s="61"/>
      <c r="B7" s="53"/>
      <c r="C7" s="38"/>
      <c r="D7" s="92"/>
      <c r="E7" s="61"/>
      <c r="F7" s="50"/>
      <c r="G7" s="61"/>
      <c r="H7" s="61"/>
      <c r="I7" s="61"/>
      <c r="J7" s="53"/>
      <c r="K7" s="38"/>
      <c r="L7" s="92"/>
      <c r="M7" s="61"/>
      <c r="N7" s="50"/>
      <c r="O7" s="119"/>
      <c r="P7" s="119"/>
      <c r="Q7" s="122"/>
    </row>
    <row r="8" spans="1:17" s="2" customFormat="1" ht="13.5" thickBot="1" x14ac:dyDescent="0.35">
      <c r="A8" s="59" t="s">
        <v>6</v>
      </c>
      <c r="B8" s="54"/>
      <c r="C8" s="42">
        <v>846.73999999999978</v>
      </c>
      <c r="D8" s="93">
        <f>+D10+D15+D21</f>
        <v>60</v>
      </c>
      <c r="E8" s="76">
        <f>+E10+E15+E21</f>
        <v>60</v>
      </c>
      <c r="F8" s="43">
        <f>+F10+F15+F21</f>
        <v>1426.2300000000014</v>
      </c>
      <c r="G8" s="43">
        <f>+G10+G15+G21</f>
        <v>743.11000000000058</v>
      </c>
      <c r="H8" s="43">
        <f>+H10+H15+H21</f>
        <v>60.009999999998399</v>
      </c>
      <c r="I8" s="59" t="s">
        <v>34</v>
      </c>
      <c r="J8" s="54"/>
      <c r="K8" s="42">
        <v>4444011.38</v>
      </c>
      <c r="L8" s="93">
        <f>L10+L13+L23</f>
        <v>1002075.1199999999</v>
      </c>
      <c r="M8" s="76">
        <f>M10+M13+M23</f>
        <v>1043309.75</v>
      </c>
      <c r="N8" s="43">
        <f>N10+N13+N23</f>
        <v>1534593.89</v>
      </c>
      <c r="O8" s="43">
        <f>O10+O13+O23</f>
        <v>1563226.8800000001</v>
      </c>
      <c r="P8" s="43">
        <f>P10+P13+P23</f>
        <v>1956860.4800000007</v>
      </c>
      <c r="Q8" s="121"/>
    </row>
    <row r="9" spans="1:17" x14ac:dyDescent="0.25">
      <c r="A9" s="60"/>
      <c r="B9" s="52"/>
      <c r="C9" s="45"/>
      <c r="D9" s="94"/>
      <c r="E9" s="103"/>
      <c r="F9" s="46"/>
      <c r="G9" s="103"/>
      <c r="H9" s="103"/>
      <c r="I9" s="60"/>
      <c r="J9" s="52"/>
      <c r="K9" s="45"/>
      <c r="L9" s="94"/>
      <c r="M9" s="103"/>
      <c r="N9" s="46"/>
      <c r="O9" s="73"/>
      <c r="P9" s="73"/>
      <c r="Q9" s="122"/>
    </row>
    <row r="10" spans="1:17" ht="13" x14ac:dyDescent="0.3">
      <c r="A10" s="84" t="s">
        <v>7</v>
      </c>
      <c r="B10" s="85"/>
      <c r="C10" s="86">
        <v>786.73999999999978</v>
      </c>
      <c r="D10" s="95">
        <v>0</v>
      </c>
      <c r="E10" s="104">
        <f>E11+E12</f>
        <v>0</v>
      </c>
      <c r="F10" s="87">
        <f>F11+F12</f>
        <v>1366.2300000000014</v>
      </c>
      <c r="G10" s="87">
        <f>G11+G12</f>
        <v>683.11000000000058</v>
      </c>
      <c r="H10" s="87">
        <f>H11+H12</f>
        <v>0</v>
      </c>
      <c r="I10" s="84" t="s">
        <v>4</v>
      </c>
      <c r="J10" s="85"/>
      <c r="K10" s="86">
        <v>150000</v>
      </c>
      <c r="L10" s="95">
        <v>150000</v>
      </c>
      <c r="M10" s="104">
        <v>150000</v>
      </c>
      <c r="N10" s="87">
        <v>150000</v>
      </c>
      <c r="O10" s="104">
        <v>150000</v>
      </c>
      <c r="P10" s="104">
        <v>150000</v>
      </c>
      <c r="Q10" s="121"/>
    </row>
    <row r="11" spans="1:17" s="3" customFormat="1" ht="13" x14ac:dyDescent="0.3">
      <c r="A11" s="62" t="s">
        <v>8</v>
      </c>
      <c r="B11" s="56">
        <v>230000</v>
      </c>
      <c r="C11" s="33">
        <v>8579.84</v>
      </c>
      <c r="D11" s="96">
        <v>8579.84</v>
      </c>
      <c r="E11" s="105">
        <v>8579.84</v>
      </c>
      <c r="F11" s="37">
        <v>10629.19</v>
      </c>
      <c r="G11" s="105">
        <f>3502+20625.85+10629.16</f>
        <v>34757.009999999995</v>
      </c>
      <c r="H11" s="105">
        <v>3502</v>
      </c>
      <c r="I11" s="62" t="s">
        <v>23</v>
      </c>
      <c r="J11" s="56">
        <v>100000</v>
      </c>
      <c r="K11" s="33">
        <v>150000</v>
      </c>
      <c r="L11" s="96">
        <v>150000</v>
      </c>
      <c r="M11" s="105">
        <v>150000</v>
      </c>
      <c r="N11" s="37">
        <v>150000</v>
      </c>
      <c r="O11" s="118">
        <v>150000</v>
      </c>
      <c r="P11" s="118">
        <v>150000</v>
      </c>
      <c r="Q11" s="123"/>
    </row>
    <row r="12" spans="1:17" s="3" customFormat="1" ht="13" x14ac:dyDescent="0.3">
      <c r="A12" s="62" t="s">
        <v>9</v>
      </c>
      <c r="B12" s="56">
        <v>230900</v>
      </c>
      <c r="C12" s="33">
        <v>-7793.1</v>
      </c>
      <c r="D12" s="96">
        <v>-8579.84</v>
      </c>
      <c r="E12" s="105">
        <v>-8579.84</v>
      </c>
      <c r="F12" s="37">
        <v>-9262.9599999999991</v>
      </c>
      <c r="G12" s="105">
        <f>-(3502+20625.85+9946.05)</f>
        <v>-34073.899999999994</v>
      </c>
      <c r="H12" s="105">
        <v>-3502</v>
      </c>
      <c r="I12" s="62" t="s">
        <v>3</v>
      </c>
      <c r="J12" s="56" t="s">
        <v>3</v>
      </c>
      <c r="K12" s="33"/>
      <c r="L12" s="96"/>
      <c r="M12" s="105"/>
      <c r="N12" s="37"/>
      <c r="O12" s="118"/>
      <c r="P12" s="118"/>
      <c r="Q12" s="123"/>
    </row>
    <row r="13" spans="1:17" ht="13" x14ac:dyDescent="0.3">
      <c r="A13" s="64"/>
      <c r="B13" s="57"/>
      <c r="C13" s="31"/>
      <c r="D13" s="100"/>
      <c r="E13" s="109"/>
      <c r="F13" s="35"/>
      <c r="G13" s="109"/>
      <c r="H13" s="109"/>
      <c r="I13" s="84" t="s">
        <v>0</v>
      </c>
      <c r="J13" s="85"/>
      <c r="K13" s="86">
        <v>3885426.85</v>
      </c>
      <c r="L13" s="95">
        <f>SUM(L14:L21)</f>
        <v>417088.19999999995</v>
      </c>
      <c r="M13" s="104">
        <f>SUM(M14:M21)</f>
        <v>417088.19999999995</v>
      </c>
      <c r="N13" s="87">
        <f>SUM(N14:N21)</f>
        <v>877088.2</v>
      </c>
      <c r="O13" s="104">
        <f>SUM(O14:O21)</f>
        <v>877088.2</v>
      </c>
      <c r="P13" s="104">
        <f>SUM(P14:P21)</f>
        <v>1027088.2</v>
      </c>
      <c r="Q13" s="121"/>
    </row>
    <row r="14" spans="1:17" ht="13" x14ac:dyDescent="0.3">
      <c r="A14" s="64"/>
      <c r="B14" s="57"/>
      <c r="C14" s="31"/>
      <c r="D14" s="100"/>
      <c r="E14" s="109"/>
      <c r="F14" s="35"/>
      <c r="G14" s="109"/>
      <c r="H14" s="109"/>
      <c r="I14" s="62"/>
      <c r="J14" s="56"/>
      <c r="K14" s="33"/>
      <c r="L14" s="96"/>
      <c r="M14" s="105"/>
      <c r="N14" s="37"/>
      <c r="O14" s="64"/>
      <c r="P14" s="64"/>
      <c r="Q14" s="122"/>
    </row>
    <row r="15" spans="1:17" ht="13" x14ac:dyDescent="0.3">
      <c r="A15" s="84" t="s">
        <v>10</v>
      </c>
      <c r="B15" s="85"/>
      <c r="C15" s="86">
        <v>0</v>
      </c>
      <c r="D15" s="95">
        <v>0</v>
      </c>
      <c r="E15" s="104">
        <f>E16+E17</f>
        <v>0</v>
      </c>
      <c r="F15" s="87">
        <f>F16+F17</f>
        <v>0</v>
      </c>
      <c r="G15" s="87">
        <f>G16+G17</f>
        <v>0</v>
      </c>
      <c r="H15" s="87">
        <f>H16+H17</f>
        <v>9.9999999983992893E-3</v>
      </c>
      <c r="I15" s="62"/>
      <c r="J15" s="56"/>
      <c r="K15" s="33"/>
      <c r="L15" s="96"/>
      <c r="M15" s="105"/>
      <c r="N15" s="37"/>
      <c r="O15" s="64"/>
      <c r="P15" s="64"/>
      <c r="Q15" s="122"/>
    </row>
    <row r="16" spans="1:17" ht="13" x14ac:dyDescent="0.3">
      <c r="A16" s="62" t="s">
        <v>11</v>
      </c>
      <c r="B16" s="56">
        <v>240000</v>
      </c>
      <c r="C16" s="33">
        <v>24127.85</v>
      </c>
      <c r="D16" s="96">
        <v>24127.85</v>
      </c>
      <c r="E16" s="105">
        <f>20625.85+3502</f>
        <v>24127.85</v>
      </c>
      <c r="F16" s="37">
        <f>20625.85+3502</f>
        <v>24127.85</v>
      </c>
      <c r="G16" s="37">
        <f>20625.85+3502</f>
        <v>24127.85</v>
      </c>
      <c r="H16" s="37">
        <f>20625.85+10629.16</f>
        <v>31255.01</v>
      </c>
      <c r="I16" s="62" t="s">
        <v>30</v>
      </c>
      <c r="J16" s="57"/>
      <c r="K16" s="32">
        <v>120000</v>
      </c>
      <c r="L16" s="97">
        <v>305629.42</v>
      </c>
      <c r="M16" s="106">
        <v>305629.42</v>
      </c>
      <c r="N16" s="36">
        <v>305629.42</v>
      </c>
      <c r="O16" s="106">
        <v>305629.42</v>
      </c>
      <c r="P16" s="106">
        <v>305629.42</v>
      </c>
      <c r="Q16" s="124"/>
    </row>
    <row r="17" spans="1:17" ht="13" x14ac:dyDescent="0.3">
      <c r="A17" s="62" t="s">
        <v>12</v>
      </c>
      <c r="B17" s="56">
        <v>240900</v>
      </c>
      <c r="C17" s="33">
        <v>-24127.85</v>
      </c>
      <c r="D17" s="96">
        <v>-24127.85</v>
      </c>
      <c r="E17" s="105">
        <v>-24127.85</v>
      </c>
      <c r="F17" s="37">
        <v>-24127.85</v>
      </c>
      <c r="G17" s="37">
        <v>-24127.85</v>
      </c>
      <c r="H17" s="37">
        <v>-31255</v>
      </c>
      <c r="I17" s="62" t="s">
        <v>31</v>
      </c>
      <c r="J17" s="55"/>
      <c r="K17" s="32">
        <v>86307.75</v>
      </c>
      <c r="L17" s="97">
        <v>111458.78</v>
      </c>
      <c r="M17" s="106">
        <v>111458.78</v>
      </c>
      <c r="N17" s="36">
        <v>111458.78</v>
      </c>
      <c r="O17" s="106">
        <v>111458.78</v>
      </c>
      <c r="P17" s="106">
        <v>111458.78</v>
      </c>
      <c r="Q17" s="124"/>
    </row>
    <row r="18" spans="1:17" ht="13" x14ac:dyDescent="0.3">
      <c r="A18" s="64"/>
      <c r="B18" s="57"/>
      <c r="C18" s="31"/>
      <c r="D18" s="100"/>
      <c r="E18" s="109"/>
      <c r="F18" s="35"/>
      <c r="G18" s="109"/>
      <c r="H18" s="109"/>
      <c r="I18" s="62" t="s">
        <v>33</v>
      </c>
      <c r="J18" s="55"/>
      <c r="K18" s="32">
        <v>3649119.1</v>
      </c>
      <c r="L18" s="97">
        <v>0</v>
      </c>
      <c r="M18" s="106">
        <v>0</v>
      </c>
      <c r="N18" s="36">
        <v>0</v>
      </c>
      <c r="O18" s="64">
        <v>0</v>
      </c>
      <c r="P18" s="64">
        <v>0</v>
      </c>
      <c r="Q18" s="122"/>
    </row>
    <row r="19" spans="1:17" ht="13" x14ac:dyDescent="0.3">
      <c r="A19" s="64"/>
      <c r="B19" s="57"/>
      <c r="C19" s="31"/>
      <c r="D19" s="100"/>
      <c r="E19" s="109"/>
      <c r="F19" s="35"/>
      <c r="G19" s="109"/>
      <c r="H19" s="109"/>
      <c r="I19" s="62" t="s">
        <v>73</v>
      </c>
      <c r="J19" s="55"/>
      <c r="K19" s="32">
        <v>0</v>
      </c>
      <c r="L19" s="97">
        <v>0</v>
      </c>
      <c r="M19" s="106">
        <v>0</v>
      </c>
      <c r="N19" s="36">
        <v>460000</v>
      </c>
      <c r="O19" s="64">
        <v>460000</v>
      </c>
      <c r="P19" s="64">
        <v>460000</v>
      </c>
      <c r="Q19" s="122"/>
    </row>
    <row r="20" spans="1:17" ht="13" x14ac:dyDescent="0.3">
      <c r="A20" s="64"/>
      <c r="B20" s="57"/>
      <c r="C20" s="31"/>
      <c r="D20" s="100"/>
      <c r="E20" s="109"/>
      <c r="F20" s="35"/>
      <c r="G20" s="109"/>
      <c r="H20" s="109"/>
      <c r="I20" s="62" t="s">
        <v>74</v>
      </c>
      <c r="J20" s="55"/>
      <c r="K20" s="32"/>
      <c r="L20" s="97"/>
      <c r="M20" s="106">
        <v>0</v>
      </c>
      <c r="N20" s="36">
        <v>0</v>
      </c>
      <c r="O20" s="64">
        <v>0</v>
      </c>
      <c r="P20" s="64">
        <v>150000</v>
      </c>
      <c r="Q20" s="122"/>
    </row>
    <row r="21" spans="1:17" ht="13" x14ac:dyDescent="0.3">
      <c r="A21" s="84" t="s">
        <v>13</v>
      </c>
      <c r="B21" s="85"/>
      <c r="C21" s="86">
        <v>60</v>
      </c>
      <c r="D21" s="95">
        <v>60</v>
      </c>
      <c r="E21" s="104">
        <v>60</v>
      </c>
      <c r="F21" s="87">
        <v>60</v>
      </c>
      <c r="G21" s="104">
        <v>60</v>
      </c>
      <c r="H21" s="104">
        <v>60</v>
      </c>
      <c r="I21" s="62"/>
      <c r="J21" s="55"/>
      <c r="K21" s="32">
        <v>30000</v>
      </c>
      <c r="L21" s="97">
        <v>0</v>
      </c>
      <c r="M21" s="106"/>
      <c r="N21" s="36"/>
      <c r="O21" s="64"/>
      <c r="P21" s="64"/>
      <c r="Q21" s="122"/>
    </row>
    <row r="22" spans="1:17" ht="13" x14ac:dyDescent="0.3">
      <c r="A22" s="64"/>
      <c r="B22" s="57"/>
      <c r="C22" s="31"/>
      <c r="D22" s="100"/>
      <c r="E22" s="109"/>
      <c r="F22" s="35"/>
      <c r="G22" s="109"/>
      <c r="H22" s="109"/>
      <c r="I22" s="62"/>
      <c r="J22" s="55"/>
      <c r="K22" s="32"/>
      <c r="L22" s="97"/>
      <c r="M22" s="106"/>
      <c r="N22" s="36"/>
      <c r="O22" s="64"/>
      <c r="P22" s="64"/>
      <c r="Q22" s="122"/>
    </row>
    <row r="23" spans="1:17" ht="13" x14ac:dyDescent="0.3">
      <c r="A23" s="64"/>
      <c r="B23" s="57"/>
      <c r="C23" s="31"/>
      <c r="D23" s="100"/>
      <c r="E23" s="109"/>
      <c r="F23" s="35"/>
      <c r="G23" s="109"/>
      <c r="H23" s="109"/>
      <c r="I23" s="84" t="s">
        <v>35</v>
      </c>
      <c r="J23" s="85"/>
      <c r="K23" s="86">
        <v>408584.52999999997</v>
      </c>
      <c r="L23" s="95">
        <v>434986.92</v>
      </c>
      <c r="M23" s="104">
        <v>476221.55</v>
      </c>
      <c r="N23" s="87">
        <f>476221.55+31284.14</f>
        <v>507505.69</v>
      </c>
      <c r="O23" s="104">
        <f>N23+'PL 2017-18-19-20'!G46</f>
        <v>536138.68000000017</v>
      </c>
      <c r="P23" s="104">
        <f>+O23+'PL 2017-18-19-20'!H46</f>
        <v>779772.28000000073</v>
      </c>
      <c r="Q23" s="121"/>
    </row>
    <row r="24" spans="1:17" ht="13" x14ac:dyDescent="0.3">
      <c r="A24" s="64"/>
      <c r="B24" s="57"/>
      <c r="C24" s="31"/>
      <c r="D24" s="100"/>
      <c r="E24" s="109"/>
      <c r="F24" s="35"/>
      <c r="G24" s="109"/>
      <c r="H24" s="109"/>
      <c r="I24" s="62"/>
      <c r="J24" s="55"/>
      <c r="K24" s="32"/>
      <c r="L24" s="97"/>
      <c r="M24" s="106"/>
      <c r="N24" s="36"/>
      <c r="O24" s="64"/>
      <c r="P24" s="64"/>
      <c r="Q24" s="122"/>
    </row>
    <row r="25" spans="1:17" ht="13" x14ac:dyDescent="0.3">
      <c r="A25" s="64"/>
      <c r="B25" s="57"/>
      <c r="C25" s="31"/>
      <c r="D25" s="100"/>
      <c r="E25" s="109"/>
      <c r="F25" s="35"/>
      <c r="G25" s="109"/>
      <c r="H25" s="109"/>
      <c r="I25" s="62"/>
      <c r="J25" s="55"/>
      <c r="K25" s="32"/>
      <c r="L25" s="97"/>
      <c r="M25" s="106"/>
      <c r="N25" s="36"/>
      <c r="O25" s="64"/>
      <c r="P25" s="64"/>
      <c r="Q25" s="122"/>
    </row>
    <row r="26" spans="1:17" x14ac:dyDescent="0.25">
      <c r="A26" s="64"/>
      <c r="B26" s="57"/>
      <c r="C26" s="31"/>
      <c r="D26" s="100"/>
      <c r="E26" s="109"/>
      <c r="F26" s="35"/>
      <c r="G26" s="109"/>
      <c r="H26" s="109"/>
      <c r="I26" s="63"/>
      <c r="J26" s="55"/>
      <c r="K26" s="32"/>
      <c r="L26" s="97"/>
      <c r="M26" s="106"/>
      <c r="N26" s="36"/>
      <c r="O26" s="64"/>
      <c r="P26" s="64"/>
      <c r="Q26" s="122"/>
    </row>
    <row r="27" spans="1:17" ht="13" thickBot="1" x14ac:dyDescent="0.3">
      <c r="A27" s="61"/>
      <c r="B27" s="53"/>
      <c r="C27" s="39"/>
      <c r="D27" s="98"/>
      <c r="E27" s="107"/>
      <c r="F27" s="40"/>
      <c r="G27" s="107"/>
      <c r="H27" s="107"/>
      <c r="I27" s="61"/>
      <c r="J27" s="53"/>
      <c r="K27" s="39"/>
      <c r="L27" s="98"/>
      <c r="M27" s="107"/>
      <c r="N27" s="40"/>
      <c r="O27" s="119"/>
      <c r="P27" s="119"/>
      <c r="Q27" s="122"/>
    </row>
    <row r="28" spans="1:17" ht="13.5" thickBot="1" x14ac:dyDescent="0.35">
      <c r="A28" s="59" t="s">
        <v>14</v>
      </c>
      <c r="B28" s="54"/>
      <c r="C28" s="42">
        <v>5145326.6999999993</v>
      </c>
      <c r="D28" s="93">
        <f>SUM(D30:D40)</f>
        <v>6713258.2799999993</v>
      </c>
      <c r="E28" s="76">
        <f>SUM(E30:E40)</f>
        <v>7464383.0099999998</v>
      </c>
      <c r="F28" s="43">
        <f>SUM(F30:F40)</f>
        <v>7299801.1600000001</v>
      </c>
      <c r="G28" s="43">
        <f>SUM(G30:G40)</f>
        <v>5626375.6900000004</v>
      </c>
      <c r="H28" s="43">
        <f>SUM(H30:H40)</f>
        <v>8651631.3000000007</v>
      </c>
      <c r="I28" s="59" t="s">
        <v>24</v>
      </c>
      <c r="J28" s="54"/>
      <c r="K28" s="42">
        <v>702162.06</v>
      </c>
      <c r="L28" s="93">
        <f>L30+L31+L33+L37</f>
        <v>5711243.1600000001</v>
      </c>
      <c r="M28" s="76">
        <f>M30+M31+M33+M37</f>
        <v>6421133.2599999998</v>
      </c>
      <c r="N28" s="43">
        <f>N30+N31+N33+N37</f>
        <v>5766633.5</v>
      </c>
      <c r="O28" s="43">
        <f>O30+O31+O33+O37</f>
        <v>4063892.5999999996</v>
      </c>
      <c r="P28" s="43">
        <f>P30+P31+P33+P37</f>
        <v>6694830.0299999993</v>
      </c>
      <c r="Q28" s="121"/>
    </row>
    <row r="29" spans="1:17" ht="13" x14ac:dyDescent="0.3">
      <c r="A29" s="60"/>
      <c r="B29" s="52"/>
      <c r="C29" s="45"/>
      <c r="D29" s="94"/>
      <c r="E29" s="103"/>
      <c r="F29" s="46"/>
      <c r="G29" s="103"/>
      <c r="H29" s="103"/>
      <c r="I29" s="65"/>
      <c r="J29" s="66"/>
      <c r="K29" s="67"/>
      <c r="L29" s="99"/>
      <c r="M29" s="108"/>
      <c r="N29" s="68"/>
      <c r="O29" s="73"/>
      <c r="P29" s="73"/>
      <c r="Q29" s="122"/>
    </row>
    <row r="30" spans="1:17" ht="13" x14ac:dyDescent="0.3">
      <c r="A30" s="84" t="s">
        <v>67</v>
      </c>
      <c r="B30" s="85">
        <v>400000</v>
      </c>
      <c r="C30" s="86">
        <v>154233.79</v>
      </c>
      <c r="D30" s="95">
        <v>174944</v>
      </c>
      <c r="E30" s="104">
        <v>727975.53</v>
      </c>
      <c r="F30" s="87">
        <v>418424</v>
      </c>
      <c r="G30" s="104">
        <v>231135.72</v>
      </c>
      <c r="H30" s="104">
        <v>404223.77</v>
      </c>
      <c r="I30" s="84" t="s">
        <v>32</v>
      </c>
      <c r="J30" s="85">
        <v>178000</v>
      </c>
      <c r="K30" s="86">
        <v>299996.39</v>
      </c>
      <c r="L30" s="95">
        <v>185356.87999999998</v>
      </c>
      <c r="M30" s="104">
        <f>52388.17+5778.42</f>
        <v>58166.59</v>
      </c>
      <c r="N30" s="87">
        <v>391164.06</v>
      </c>
      <c r="O30" s="87">
        <f>506251.98+8918.77</f>
        <v>515170.75</v>
      </c>
      <c r="P30" s="87">
        <f>188854.17+2433.01</f>
        <v>191287.18000000002</v>
      </c>
      <c r="Q30" s="121"/>
    </row>
    <row r="31" spans="1:17" ht="13" x14ac:dyDescent="0.3">
      <c r="A31" s="84" t="s">
        <v>15</v>
      </c>
      <c r="B31" s="85">
        <v>404100</v>
      </c>
      <c r="C31" s="86">
        <v>20127.36</v>
      </c>
      <c r="D31" s="95">
        <v>13781.28</v>
      </c>
      <c r="E31" s="104">
        <f>22775.16+21483.23</f>
        <v>44258.39</v>
      </c>
      <c r="F31" s="87">
        <v>21483.39</v>
      </c>
      <c r="G31" s="104">
        <v>40221.24</v>
      </c>
      <c r="H31" s="104">
        <f>4368.5+400.42+2043.68</f>
        <v>6812.6</v>
      </c>
      <c r="I31" s="84" t="s">
        <v>36</v>
      </c>
      <c r="J31" s="85">
        <v>440000</v>
      </c>
      <c r="K31" s="86">
        <v>32699.86</v>
      </c>
      <c r="L31" s="95">
        <v>0</v>
      </c>
      <c r="M31" s="104">
        <v>0</v>
      </c>
      <c r="N31" s="87">
        <v>0</v>
      </c>
      <c r="O31" s="87">
        <v>0</v>
      </c>
      <c r="P31" s="87">
        <v>3613.76</v>
      </c>
      <c r="Q31" s="121"/>
    </row>
    <row r="32" spans="1:17" x14ac:dyDescent="0.25">
      <c r="A32" s="64"/>
      <c r="B32" s="57"/>
      <c r="C32" s="31"/>
      <c r="D32" s="100"/>
      <c r="E32" s="109"/>
      <c r="F32" s="35"/>
      <c r="G32" s="109"/>
      <c r="H32" s="109"/>
      <c r="I32" s="64"/>
      <c r="J32" s="57"/>
      <c r="K32" s="31"/>
      <c r="L32" s="100"/>
      <c r="M32" s="109"/>
      <c r="N32" s="35"/>
      <c r="O32" s="73"/>
      <c r="P32" s="73"/>
      <c r="Q32" s="122"/>
    </row>
    <row r="33" spans="1:17" ht="13" x14ac:dyDescent="0.3">
      <c r="A33" s="64"/>
      <c r="B33" s="57"/>
      <c r="C33" s="31"/>
      <c r="D33" s="100"/>
      <c r="E33" s="109"/>
      <c r="F33" s="35"/>
      <c r="G33" s="109"/>
      <c r="H33" s="109"/>
      <c r="I33" s="84" t="s">
        <v>69</v>
      </c>
      <c r="J33" s="85"/>
      <c r="K33" s="86">
        <v>26815.54</v>
      </c>
      <c r="L33" s="95">
        <v>64152.84</v>
      </c>
      <c r="M33" s="104">
        <f>M34+M35</f>
        <v>84437.43</v>
      </c>
      <c r="N33" s="87">
        <f>N34+N35</f>
        <v>68256.58</v>
      </c>
      <c r="O33" s="87">
        <f>O34+O35</f>
        <v>100674.45</v>
      </c>
      <c r="P33" s="87">
        <f>P34+P35</f>
        <v>125495.82</v>
      </c>
      <c r="Q33" s="121"/>
    </row>
    <row r="34" spans="1:17" s="2" customFormat="1" ht="13" x14ac:dyDescent="0.3">
      <c r="A34" s="84" t="s">
        <v>16</v>
      </c>
      <c r="B34" s="85">
        <v>520000</v>
      </c>
      <c r="C34" s="86">
        <v>415472.78</v>
      </c>
      <c r="D34" s="95">
        <v>415472.78</v>
      </c>
      <c r="E34" s="104">
        <v>415472.78</v>
      </c>
      <c r="F34" s="87">
        <v>415472.78</v>
      </c>
      <c r="G34" s="104">
        <v>415473</v>
      </c>
      <c r="H34" s="104">
        <v>748274.02</v>
      </c>
      <c r="I34" s="62" t="s">
        <v>22</v>
      </c>
      <c r="J34" s="56">
        <v>452500</v>
      </c>
      <c r="K34" s="33">
        <v>0</v>
      </c>
      <c r="L34" s="96">
        <v>0</v>
      </c>
      <c r="M34" s="105">
        <v>0</v>
      </c>
      <c r="N34" s="37">
        <v>0</v>
      </c>
      <c r="O34" s="37">
        <v>0</v>
      </c>
      <c r="P34" s="37">
        <v>0</v>
      </c>
      <c r="Q34" s="125"/>
    </row>
    <row r="35" spans="1:17" ht="13" x14ac:dyDescent="0.3">
      <c r="A35" s="84"/>
      <c r="B35" s="85"/>
      <c r="C35" s="86"/>
      <c r="D35" s="95"/>
      <c r="E35" s="104"/>
      <c r="F35" s="87"/>
      <c r="G35" s="104"/>
      <c r="H35" s="104"/>
      <c r="I35" s="62" t="s">
        <v>21</v>
      </c>
      <c r="J35" s="58" t="s">
        <v>2</v>
      </c>
      <c r="K35" s="33">
        <v>26815.54</v>
      </c>
      <c r="L35" s="96">
        <v>64152.84</v>
      </c>
      <c r="M35" s="105">
        <v>84437.43</v>
      </c>
      <c r="N35" s="37">
        <v>68256.58</v>
      </c>
      <c r="O35" s="37">
        <v>100674.45</v>
      </c>
      <c r="P35" s="37">
        <v>125495.82</v>
      </c>
      <c r="Q35" s="125"/>
    </row>
    <row r="36" spans="1:17" ht="13" x14ac:dyDescent="0.3">
      <c r="A36" s="84" t="s">
        <v>17</v>
      </c>
      <c r="B36" s="88" t="s">
        <v>1</v>
      </c>
      <c r="C36" s="86">
        <v>4555492.7699999996</v>
      </c>
      <c r="D36" s="95">
        <v>6105023.3099999996</v>
      </c>
      <c r="E36" s="104">
        <v>6256054.7800000003</v>
      </c>
      <c r="F36" s="87">
        <f>6444925.95-1970.05</f>
        <v>6442955.9000000004</v>
      </c>
      <c r="G36" s="104">
        <v>4937033</v>
      </c>
      <c r="H36" s="104">
        <v>7479082.7000000002</v>
      </c>
      <c r="I36" s="64" t="s">
        <v>3</v>
      </c>
      <c r="J36" s="58" t="s">
        <v>3</v>
      </c>
      <c r="K36" s="33"/>
      <c r="L36" s="96"/>
      <c r="M36" s="105"/>
      <c r="N36" s="37"/>
      <c r="O36" s="73"/>
      <c r="P36" s="73"/>
      <c r="Q36" s="122"/>
    </row>
    <row r="37" spans="1:17" ht="13" x14ac:dyDescent="0.3">
      <c r="A37" s="84"/>
      <c r="B37" s="85"/>
      <c r="C37" s="86"/>
      <c r="D37" s="95"/>
      <c r="E37" s="104"/>
      <c r="F37" s="87"/>
      <c r="G37" s="104"/>
      <c r="H37" s="104"/>
      <c r="I37" s="84" t="s">
        <v>18</v>
      </c>
      <c r="J37" s="85"/>
      <c r="K37" s="86">
        <v>342650.27</v>
      </c>
      <c r="L37" s="95">
        <f>SUM(L38:L40)</f>
        <v>5461733.4400000004</v>
      </c>
      <c r="M37" s="104">
        <f>SUM(M38:M40)</f>
        <v>6278529.2400000002</v>
      </c>
      <c r="N37" s="87">
        <f>SUM(N38:N40)</f>
        <v>5307212.8600000003</v>
      </c>
      <c r="O37" s="87">
        <f>SUM(O38:O40)</f>
        <v>3448047.4</v>
      </c>
      <c r="P37" s="87">
        <f>SUM(P38:P40)</f>
        <v>6374433.2699999996</v>
      </c>
      <c r="Q37" s="121"/>
    </row>
    <row r="38" spans="1:17" ht="13" x14ac:dyDescent="0.3">
      <c r="A38" s="84" t="s">
        <v>28</v>
      </c>
      <c r="B38" s="85">
        <v>491000</v>
      </c>
      <c r="C38" s="86">
        <v>0</v>
      </c>
      <c r="D38" s="95">
        <v>3164.8</v>
      </c>
      <c r="E38" s="104">
        <v>20120.27</v>
      </c>
      <c r="F38" s="87">
        <v>0</v>
      </c>
      <c r="G38" s="104">
        <v>0</v>
      </c>
      <c r="H38" s="104">
        <v>0</v>
      </c>
      <c r="I38" s="64" t="s">
        <v>19</v>
      </c>
      <c r="J38" s="57">
        <v>492000</v>
      </c>
      <c r="K38" s="31">
        <v>0</v>
      </c>
      <c r="L38" s="100">
        <v>21930.400000000001</v>
      </c>
      <c r="M38" s="109">
        <v>0</v>
      </c>
      <c r="N38" s="35">
        <v>0</v>
      </c>
      <c r="O38" s="73">
        <v>20</v>
      </c>
      <c r="P38" s="73">
        <v>2073.4299999999998</v>
      </c>
      <c r="Q38" s="122"/>
    </row>
    <row r="39" spans="1:17" ht="13" x14ac:dyDescent="0.3">
      <c r="A39" s="84"/>
      <c r="B39" s="85"/>
      <c r="C39" s="86"/>
      <c r="D39" s="95"/>
      <c r="E39" s="104"/>
      <c r="F39" s="87"/>
      <c r="G39" s="104"/>
      <c r="H39" s="104"/>
      <c r="I39" s="62" t="s">
        <v>20</v>
      </c>
      <c r="J39" s="56">
        <v>493000</v>
      </c>
      <c r="K39" s="31">
        <v>312650.27</v>
      </c>
      <c r="L39" s="100">
        <v>450000</v>
      </c>
      <c r="M39" s="109">
        <v>550000</v>
      </c>
      <c r="N39" s="35">
        <v>0</v>
      </c>
      <c r="O39" s="109">
        <v>60000</v>
      </c>
      <c r="P39" s="109">
        <v>0</v>
      </c>
      <c r="Q39" s="126"/>
    </row>
    <row r="40" spans="1:17" ht="13" x14ac:dyDescent="0.3">
      <c r="A40" s="84" t="s">
        <v>29</v>
      </c>
      <c r="B40" s="85"/>
      <c r="C40" s="86">
        <v>0</v>
      </c>
      <c r="D40" s="95">
        <v>872.11</v>
      </c>
      <c r="E40" s="104">
        <v>501.26</v>
      </c>
      <c r="F40" s="87">
        <v>1465.09</v>
      </c>
      <c r="G40" s="104">
        <v>2512.73</v>
      </c>
      <c r="H40" s="104">
        <v>13238.21</v>
      </c>
      <c r="I40" s="62" t="s">
        <v>68</v>
      </c>
      <c r="J40" s="56">
        <v>493100</v>
      </c>
      <c r="K40" s="31">
        <v>30000</v>
      </c>
      <c r="L40" s="100">
        <f>5111733.44-100000-21930.4</f>
        <v>4989803.04</v>
      </c>
      <c r="M40" s="109">
        <f>6178529.24-450000</f>
        <v>5728529.2400000002</v>
      </c>
      <c r="N40" s="35">
        <v>5307212.8600000003</v>
      </c>
      <c r="O40" s="35">
        <v>3388027.4</v>
      </c>
      <c r="P40" s="35">
        <v>6372359.8399999999</v>
      </c>
      <c r="Q40" s="126"/>
    </row>
    <row r="41" spans="1:17" x14ac:dyDescent="0.25">
      <c r="A41" s="64"/>
      <c r="B41" s="57"/>
      <c r="C41" s="31"/>
      <c r="D41" s="100"/>
      <c r="E41" s="109"/>
      <c r="F41" s="35"/>
      <c r="G41" s="109"/>
      <c r="H41" s="109"/>
      <c r="I41" s="64"/>
      <c r="J41" s="57"/>
      <c r="K41" s="30"/>
      <c r="L41" s="101"/>
      <c r="M41" s="64"/>
      <c r="N41" s="117"/>
      <c r="O41" s="117"/>
      <c r="P41" s="117"/>
      <c r="Q41" s="123"/>
    </row>
    <row r="42" spans="1:17" x14ac:dyDescent="0.25">
      <c r="A42" s="64"/>
      <c r="B42" s="57"/>
      <c r="C42" s="31"/>
      <c r="D42" s="100"/>
      <c r="E42" s="109"/>
      <c r="F42" s="35"/>
      <c r="G42" s="109"/>
      <c r="H42" s="109"/>
      <c r="I42" s="64"/>
      <c r="J42" s="57"/>
      <c r="K42" s="30"/>
      <c r="L42" s="101"/>
      <c r="M42" s="64"/>
      <c r="N42" s="34"/>
      <c r="O42" s="117"/>
      <c r="P42" s="117"/>
      <c r="Q42" s="123"/>
    </row>
    <row r="43" spans="1:17" ht="13" thickBot="1" x14ac:dyDescent="0.3">
      <c r="A43" s="61"/>
      <c r="B43" s="53"/>
      <c r="C43" s="39"/>
      <c r="D43" s="98"/>
      <c r="E43" s="107"/>
      <c r="F43" s="40"/>
      <c r="G43" s="107"/>
      <c r="H43" s="107"/>
      <c r="I43" s="61"/>
      <c r="J43" s="53"/>
      <c r="K43" s="39"/>
      <c r="L43" s="98"/>
      <c r="M43" s="107"/>
      <c r="N43" s="40"/>
      <c r="O43" s="73"/>
      <c r="P43" s="73"/>
      <c r="Q43" s="122"/>
    </row>
    <row r="44" spans="1:17" ht="13.5" thickBot="1" x14ac:dyDescent="0.35">
      <c r="A44" s="59" t="s">
        <v>27</v>
      </c>
      <c r="B44" s="54"/>
      <c r="C44" s="42">
        <v>5146173.4399999995</v>
      </c>
      <c r="D44" s="93">
        <f>+D28+D8</f>
        <v>6713318.2799999993</v>
      </c>
      <c r="E44" s="76">
        <f>+E28+E8</f>
        <v>7464443.0099999998</v>
      </c>
      <c r="F44" s="43">
        <f>+F28+F8</f>
        <v>7301227.3900000006</v>
      </c>
      <c r="G44" s="43">
        <f>+G28+G8</f>
        <v>5627118.8000000007</v>
      </c>
      <c r="H44" s="43">
        <f>+H28+H8</f>
        <v>8651691.3100000005</v>
      </c>
      <c r="I44" s="59" t="s">
        <v>25</v>
      </c>
      <c r="J44" s="54"/>
      <c r="K44" s="42">
        <v>5146173.4399999995</v>
      </c>
      <c r="L44" s="93">
        <f>+L28+L8</f>
        <v>6713318.2800000003</v>
      </c>
      <c r="M44" s="76">
        <f>+M28+M8</f>
        <v>7464443.0099999998</v>
      </c>
      <c r="N44" s="43">
        <f>+N28+N8</f>
        <v>7301227.3899999997</v>
      </c>
      <c r="O44" s="43">
        <f>+O28+O8</f>
        <v>5627119.4799999995</v>
      </c>
      <c r="P44" s="43">
        <f>+P28+P8</f>
        <v>8651690.5099999998</v>
      </c>
      <c r="Q44" s="121"/>
    </row>
    <row r="45" spans="1:17" x14ac:dyDescent="0.25">
      <c r="N45" s="89"/>
    </row>
    <row r="46" spans="1:17" x14ac:dyDescent="0.25">
      <c r="K46" s="1"/>
      <c r="M46" s="1"/>
      <c r="N46" s="1"/>
    </row>
  </sheetData>
  <phoneticPr fontId="0" type="noConversion"/>
  <pageMargins left="0.74803149606299213" right="0.74803149606299213" top="0.70866141732283472" bottom="0.70866141732283472" header="0.51181102362204722" footer="0.51181102362204722"/>
  <pageSetup paperSize="9" scale="82" orientation="landscape" r:id="rId1"/>
  <headerFooter alignWithMargins="0">
    <oddFooter>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zoomScale="55" zoomScaleNormal="55" workbookViewId="0">
      <selection activeCell="B2" sqref="B2"/>
    </sheetView>
  </sheetViews>
  <sheetFormatPr defaultColWidth="8.81640625" defaultRowHeight="12.5" x14ac:dyDescent="0.25"/>
  <cols>
    <col min="2" max="2" width="54.453125" customWidth="1"/>
    <col min="3" max="4" width="20.7265625" hidden="1" customWidth="1"/>
    <col min="5" max="6" width="20.7265625" customWidth="1"/>
    <col min="7" max="8" width="19.81640625" customWidth="1"/>
    <col min="9" max="10" width="9.1796875" bestFit="1" customWidth="1"/>
    <col min="12" max="12" width="9.1796875" bestFit="1" customWidth="1"/>
  </cols>
  <sheetData>
    <row r="1" spans="1:9" ht="20" x14ac:dyDescent="0.4">
      <c r="B1" s="7" t="s">
        <v>75</v>
      </c>
      <c r="C1" s="7"/>
    </row>
    <row r="2" spans="1:9" ht="13" thickBot="1" x14ac:dyDescent="0.3"/>
    <row r="3" spans="1:9" ht="13.5" thickBot="1" x14ac:dyDescent="0.35">
      <c r="A3" s="6"/>
      <c r="B3" s="8"/>
      <c r="C3" s="69">
        <v>2015</v>
      </c>
      <c r="D3" s="81">
        <v>2016</v>
      </c>
      <c r="E3" s="81">
        <v>2017</v>
      </c>
      <c r="F3" s="80">
        <v>2018</v>
      </c>
      <c r="G3" s="81">
        <v>2019</v>
      </c>
      <c r="H3" s="81">
        <v>2020</v>
      </c>
    </row>
    <row r="4" spans="1:9" ht="13" x14ac:dyDescent="0.3">
      <c r="A4" s="71" t="s">
        <v>62</v>
      </c>
      <c r="B4" s="12"/>
      <c r="C4" s="82"/>
      <c r="D4" s="20"/>
      <c r="E4" s="13"/>
      <c r="F4" s="13"/>
      <c r="G4" s="73"/>
      <c r="H4" s="73"/>
    </row>
    <row r="5" spans="1:9" ht="13" x14ac:dyDescent="0.3">
      <c r="A5" s="72"/>
      <c r="C5" s="83"/>
      <c r="D5" s="73"/>
      <c r="E5" s="74"/>
      <c r="F5" s="74"/>
      <c r="G5" s="73"/>
      <c r="H5" s="73"/>
    </row>
    <row r="6" spans="1:9" x14ac:dyDescent="0.25">
      <c r="A6" s="14"/>
      <c r="B6" s="15" t="s">
        <v>37</v>
      </c>
      <c r="C6" s="21">
        <v>210217.26</v>
      </c>
      <c r="D6" s="21">
        <v>188464.34</v>
      </c>
      <c r="E6" s="22">
        <v>178446</v>
      </c>
      <c r="F6" s="22">
        <v>176184</v>
      </c>
      <c r="G6" s="112">
        <v>174804</v>
      </c>
      <c r="H6" s="112">
        <v>175639.19</v>
      </c>
      <c r="I6" s="89"/>
    </row>
    <row r="7" spans="1:9" x14ac:dyDescent="0.25">
      <c r="A7" s="14"/>
      <c r="B7" s="15" t="s">
        <v>38</v>
      </c>
      <c r="C7" s="21">
        <v>222937.37</v>
      </c>
      <c r="D7" s="21">
        <v>435841.09</v>
      </c>
      <c r="E7" s="22">
        <v>566163</v>
      </c>
      <c r="F7" s="22">
        <v>739012</v>
      </c>
      <c r="G7" s="23">
        <v>694833</v>
      </c>
      <c r="H7" s="23">
        <v>712091.77</v>
      </c>
    </row>
    <row r="8" spans="1:9" x14ac:dyDescent="0.25">
      <c r="A8" s="16"/>
      <c r="B8" s="15" t="s">
        <v>39</v>
      </c>
      <c r="C8" s="21">
        <f>4979773.52-210217.26-55086-2762.07</f>
        <v>4711708.1899999995</v>
      </c>
      <c r="D8" s="21">
        <v>5556739.8099999996</v>
      </c>
      <c r="E8" s="22">
        <v>6060212</v>
      </c>
      <c r="F8" s="22">
        <f>6797847-163000</f>
        <v>6634847</v>
      </c>
      <c r="G8" s="23">
        <v>7114417</v>
      </c>
      <c r="H8" s="23">
        <v>7094072.5599999996</v>
      </c>
    </row>
    <row r="9" spans="1:9" x14ac:dyDescent="0.25">
      <c r="A9" s="14"/>
      <c r="B9" s="15" t="s">
        <v>72</v>
      </c>
      <c r="C9" s="21">
        <v>55086</v>
      </c>
      <c r="D9" s="21">
        <v>143089</v>
      </c>
      <c r="E9" s="22">
        <v>134669</v>
      </c>
      <c r="F9" s="22">
        <v>127294</v>
      </c>
      <c r="G9" s="23">
        <v>140237</v>
      </c>
      <c r="H9" s="23">
        <v>155738.29</v>
      </c>
    </row>
    <row r="10" spans="1:9" x14ac:dyDescent="0.25">
      <c r="A10" s="14"/>
      <c r="B10" s="15" t="s">
        <v>40</v>
      </c>
      <c r="C10" s="21">
        <v>2762.07</v>
      </c>
      <c r="D10" s="21">
        <v>953.92</v>
      </c>
      <c r="E10" s="22">
        <v>6421</v>
      </c>
      <c r="F10" s="22">
        <v>602</v>
      </c>
      <c r="G10" s="23">
        <v>3690</v>
      </c>
      <c r="H10" s="23">
        <v>0</v>
      </c>
    </row>
    <row r="11" spans="1:9" x14ac:dyDescent="0.25">
      <c r="A11" s="14"/>
      <c r="B11" s="15" t="s">
        <v>41</v>
      </c>
      <c r="C11" s="21">
        <v>23499.32</v>
      </c>
      <c r="D11" s="21">
        <v>6945.96</v>
      </c>
      <c r="E11" s="22">
        <v>3021</v>
      </c>
      <c r="F11" s="22">
        <f>935+1960</f>
        <v>2895</v>
      </c>
      <c r="G11" s="73">
        <v>479</v>
      </c>
      <c r="H11" s="73">
        <v>166884.04</v>
      </c>
    </row>
    <row r="12" spans="1:9" x14ac:dyDescent="0.25">
      <c r="A12" s="14"/>
      <c r="B12" s="15" t="s">
        <v>42</v>
      </c>
      <c r="C12" s="21">
        <v>10960.82</v>
      </c>
      <c r="D12" s="21">
        <v>13950.3</v>
      </c>
      <c r="E12" s="22">
        <v>0</v>
      </c>
      <c r="F12" s="22">
        <v>0</v>
      </c>
      <c r="G12" s="73">
        <v>474</v>
      </c>
      <c r="H12" s="73">
        <f>396+473.57</f>
        <v>869.56999999999994</v>
      </c>
    </row>
    <row r="13" spans="1:9" ht="13" thickBot="1" x14ac:dyDescent="0.3">
      <c r="A13" s="16"/>
      <c r="B13" s="17"/>
      <c r="C13" s="21"/>
      <c r="D13" s="21"/>
      <c r="E13" s="22"/>
      <c r="F13" s="22"/>
      <c r="G13" s="73"/>
      <c r="H13" s="73"/>
    </row>
    <row r="14" spans="1:9" ht="13.5" thickBot="1" x14ac:dyDescent="0.35">
      <c r="A14" s="75" t="s">
        <v>63</v>
      </c>
      <c r="B14" s="70"/>
      <c r="C14" s="76">
        <f t="shared" ref="C14:H14" si="0">SUM(C6:C12)</f>
        <v>5237171.03</v>
      </c>
      <c r="D14" s="76">
        <f t="shared" si="0"/>
        <v>6345984.419999999</v>
      </c>
      <c r="E14" s="77">
        <f t="shared" si="0"/>
        <v>6948932</v>
      </c>
      <c r="F14" s="77">
        <f t="shared" si="0"/>
        <v>7680834</v>
      </c>
      <c r="G14" s="76">
        <f t="shared" si="0"/>
        <v>8128934</v>
      </c>
      <c r="H14" s="76">
        <f t="shared" si="0"/>
        <v>8305295.4199999999</v>
      </c>
    </row>
    <row r="15" spans="1:9" x14ac:dyDescent="0.25">
      <c r="A15" s="16"/>
      <c r="B15" s="17"/>
      <c r="C15" s="24"/>
      <c r="D15" s="23"/>
      <c r="E15" s="22"/>
      <c r="F15" s="22"/>
      <c r="G15" s="73"/>
      <c r="H15" s="73"/>
    </row>
    <row r="16" spans="1:9" ht="13" x14ac:dyDescent="0.3">
      <c r="A16" s="72" t="s">
        <v>65</v>
      </c>
      <c r="C16" s="25"/>
      <c r="D16" s="23"/>
      <c r="E16" s="22"/>
      <c r="F16" s="22"/>
      <c r="G16" s="73"/>
      <c r="H16" s="73"/>
    </row>
    <row r="17" spans="1:11" ht="13" x14ac:dyDescent="0.3">
      <c r="A17" s="72"/>
      <c r="C17" s="25"/>
      <c r="D17" s="23"/>
      <c r="E17" s="22"/>
      <c r="F17" s="22"/>
      <c r="G17" s="73"/>
      <c r="H17" s="73"/>
      <c r="J17" s="89"/>
    </row>
    <row r="18" spans="1:11" ht="13" x14ac:dyDescent="0.3">
      <c r="A18" s="18"/>
      <c r="B18" s="2" t="s">
        <v>43</v>
      </c>
      <c r="C18" s="26">
        <f t="shared" ref="C18:H18" si="1">SUM(C20:C31)</f>
        <v>70140.039999999994</v>
      </c>
      <c r="D18" s="26">
        <f t="shared" si="1"/>
        <v>75062</v>
      </c>
      <c r="E18" s="27">
        <f t="shared" si="1"/>
        <v>83141</v>
      </c>
      <c r="F18" s="27">
        <f t="shared" si="1"/>
        <v>103042</v>
      </c>
      <c r="G18" s="26">
        <f t="shared" si="1"/>
        <v>93566.01</v>
      </c>
      <c r="H18" s="26">
        <f t="shared" si="1"/>
        <v>68328.66</v>
      </c>
    </row>
    <row r="19" spans="1:11" ht="13" x14ac:dyDescent="0.3">
      <c r="A19" s="18"/>
      <c r="B19" s="2"/>
      <c r="C19" s="26"/>
      <c r="D19" s="26"/>
      <c r="E19" s="27"/>
      <c r="F19" s="27"/>
      <c r="G19" s="73"/>
      <c r="H19" s="73"/>
    </row>
    <row r="20" spans="1:11" x14ac:dyDescent="0.25">
      <c r="A20" s="16"/>
      <c r="B20" s="79" t="s">
        <v>44</v>
      </c>
      <c r="C20" s="21">
        <v>12107.65</v>
      </c>
      <c r="D20" s="21">
        <v>13621</v>
      </c>
      <c r="E20" s="22">
        <v>18161</v>
      </c>
      <c r="F20" s="22">
        <v>12906</v>
      </c>
      <c r="G20" s="21">
        <v>18347.73</v>
      </c>
      <c r="H20" s="21">
        <v>12714.33</v>
      </c>
      <c r="J20" s="111"/>
    </row>
    <row r="21" spans="1:11" x14ac:dyDescent="0.25">
      <c r="A21" s="16"/>
      <c r="B21" s="79" t="s">
        <v>45</v>
      </c>
      <c r="C21" s="21">
        <v>1732.41</v>
      </c>
      <c r="D21" s="21">
        <v>5227</v>
      </c>
      <c r="E21" s="22">
        <f>1462</f>
        <v>1462</v>
      </c>
      <c r="F21" s="22">
        <f>2340-F29</f>
        <v>2264.9</v>
      </c>
      <c r="G21" s="21">
        <v>1597.14</v>
      </c>
      <c r="H21" s="21">
        <v>1593.39</v>
      </c>
    </row>
    <row r="22" spans="1:11" x14ac:dyDescent="0.25">
      <c r="A22" s="16"/>
      <c r="B22" s="79" t="s">
        <v>46</v>
      </c>
      <c r="C22" s="21">
        <v>174.32</v>
      </c>
      <c r="D22" s="21">
        <v>390</v>
      </c>
      <c r="E22" s="22">
        <v>498</v>
      </c>
      <c r="F22" s="22">
        <v>725</v>
      </c>
      <c r="G22" s="21">
        <v>1194.28</v>
      </c>
      <c r="H22" s="21">
        <v>339.79</v>
      </c>
    </row>
    <row r="23" spans="1:11" x14ac:dyDescent="0.25">
      <c r="A23" s="16"/>
      <c r="B23" s="79" t="s">
        <v>61</v>
      </c>
      <c r="C23" s="21">
        <f>2692.98+100.2</f>
        <v>2793.18</v>
      </c>
      <c r="D23" s="21">
        <v>2377</v>
      </c>
      <c r="E23" s="22">
        <v>2772</v>
      </c>
      <c r="F23" s="22">
        <v>1770</v>
      </c>
      <c r="G23" s="21">
        <v>1469.3</v>
      </c>
      <c r="H23" s="21">
        <v>1125.8699999999999</v>
      </c>
    </row>
    <row r="24" spans="1:11" x14ac:dyDescent="0.25">
      <c r="A24" s="16"/>
      <c r="B24" s="79" t="s">
        <v>47</v>
      </c>
      <c r="C24" s="21">
        <v>2966.64</v>
      </c>
      <c r="D24" s="21">
        <v>4023</v>
      </c>
      <c r="E24" s="22">
        <v>4674</v>
      </c>
      <c r="F24" s="22">
        <v>4851</v>
      </c>
      <c r="G24" s="21">
        <v>5156.09</v>
      </c>
      <c r="H24" s="21">
        <v>4787.04</v>
      </c>
      <c r="K24" s="89"/>
    </row>
    <row r="25" spans="1:11" x14ac:dyDescent="0.25">
      <c r="A25" s="16"/>
      <c r="B25" s="79" t="s">
        <v>48</v>
      </c>
      <c r="C25" s="21">
        <v>330.65</v>
      </c>
      <c r="D25" s="21">
        <v>293</v>
      </c>
      <c r="E25" s="22">
        <f>191+1763</f>
        <v>1954</v>
      </c>
      <c r="F25" s="22">
        <f>191+1357</f>
        <v>1548</v>
      </c>
      <c r="G25" s="21">
        <f>748+829</f>
        <v>1577</v>
      </c>
      <c r="H25" s="21">
        <f>1319.52+864.92</f>
        <v>2184.44</v>
      </c>
    </row>
    <row r="26" spans="1:11" x14ac:dyDescent="0.25">
      <c r="A26" s="16"/>
      <c r="B26" s="79" t="s">
        <v>49</v>
      </c>
      <c r="C26" s="21">
        <v>4874.83</v>
      </c>
      <c r="D26" s="21">
        <v>4949</v>
      </c>
      <c r="E26" s="22">
        <f>1633</f>
        <v>1633</v>
      </c>
      <c r="F26" s="22">
        <v>4491</v>
      </c>
      <c r="G26" s="21">
        <v>6487.51</v>
      </c>
      <c r="H26" s="21">
        <v>1002.79</v>
      </c>
    </row>
    <row r="27" spans="1:11" x14ac:dyDescent="0.25">
      <c r="A27" s="16"/>
      <c r="B27" s="79" t="s">
        <v>50</v>
      </c>
      <c r="C27" s="21">
        <f>1032.43+1095.05</f>
        <v>2127.48</v>
      </c>
      <c r="D27" s="21">
        <v>2663</v>
      </c>
      <c r="E27" s="22">
        <f>914</f>
        <v>914</v>
      </c>
      <c r="F27" s="22">
        <v>1889</v>
      </c>
      <c r="G27" s="21">
        <v>2690.29</v>
      </c>
      <c r="H27" s="21">
        <v>900.6</v>
      </c>
    </row>
    <row r="28" spans="1:11" x14ac:dyDescent="0.25">
      <c r="A28" s="16"/>
      <c r="B28" s="79" t="s">
        <v>51</v>
      </c>
      <c r="C28" s="21">
        <v>9416.65</v>
      </c>
      <c r="D28" s="21">
        <f>4787+1404</f>
        <v>6191</v>
      </c>
      <c r="E28" s="22">
        <v>3272</v>
      </c>
      <c r="F28" s="22">
        <v>1730</v>
      </c>
      <c r="G28" s="21">
        <v>3852.67</v>
      </c>
      <c r="H28" s="21">
        <v>674.8</v>
      </c>
    </row>
    <row r="29" spans="1:11" x14ac:dyDescent="0.25">
      <c r="A29" s="16"/>
      <c r="B29" s="79" t="s">
        <v>52</v>
      </c>
      <c r="C29" s="21">
        <v>353.38</v>
      </c>
      <c r="D29" s="21">
        <v>5034</v>
      </c>
      <c r="E29" s="22">
        <v>0</v>
      </c>
      <c r="F29" s="22">
        <v>75.099999999999994</v>
      </c>
      <c r="G29" s="21">
        <v>10000</v>
      </c>
      <c r="H29" s="21">
        <v>10838.45</v>
      </c>
    </row>
    <row r="30" spans="1:11" x14ac:dyDescent="0.25">
      <c r="A30" s="16"/>
      <c r="B30" s="79" t="s">
        <v>60</v>
      </c>
      <c r="C30" s="21">
        <f>3025+10821.43+15234.48+4181.94</f>
        <v>33262.85</v>
      </c>
      <c r="D30" s="21">
        <f>2790+3025+9841+13635</f>
        <v>29291</v>
      </c>
      <c r="E30" s="22">
        <f>16841+1383+4901+10620</f>
        <v>33745</v>
      </c>
      <c r="F30" s="22">
        <f>20878+12672+3388+12333+11132</f>
        <v>60403</v>
      </c>
      <c r="G30" s="21">
        <f>8753+2023+3756+13300+8000</f>
        <v>35832</v>
      </c>
      <c r="H30" s="21">
        <f>3716.35+3388+14512.59+5619.38</f>
        <v>27236.320000000003</v>
      </c>
    </row>
    <row r="31" spans="1:11" x14ac:dyDescent="0.25">
      <c r="A31" s="16"/>
      <c r="B31" s="79" t="s">
        <v>53</v>
      </c>
      <c r="C31" s="21">
        <v>0</v>
      </c>
      <c r="D31" s="23">
        <v>1003</v>
      </c>
      <c r="E31" s="22">
        <f>12979+1077</f>
        <v>14056</v>
      </c>
      <c r="F31" s="22">
        <f>5125+5000+264</f>
        <v>10389</v>
      </c>
      <c r="G31" s="21">
        <f>3701+1661</f>
        <v>5362</v>
      </c>
      <c r="H31" s="21">
        <f>3805.87+1124.97</f>
        <v>4930.84</v>
      </c>
    </row>
    <row r="32" spans="1:11" x14ac:dyDescent="0.25">
      <c r="A32" s="16"/>
      <c r="B32" s="15"/>
      <c r="C32" s="21"/>
      <c r="D32" s="23"/>
      <c r="E32" s="22"/>
      <c r="F32" s="22"/>
      <c r="G32" s="73"/>
      <c r="H32" s="73"/>
    </row>
    <row r="33" spans="1:12" ht="13" x14ac:dyDescent="0.3">
      <c r="A33" s="18"/>
      <c r="B33" s="2" t="s">
        <v>54</v>
      </c>
      <c r="C33" s="25">
        <f>222937.37+141869.38</f>
        <v>364806.75</v>
      </c>
      <c r="D33" s="25">
        <v>657728.61</v>
      </c>
      <c r="E33" s="28">
        <v>761043</v>
      </c>
      <c r="F33" s="28">
        <v>909278</v>
      </c>
      <c r="G33" s="113">
        <v>892311</v>
      </c>
      <c r="H33" s="113">
        <v>896168.66</v>
      </c>
      <c r="L33" s="89"/>
    </row>
    <row r="34" spans="1:12" ht="13" x14ac:dyDescent="0.3">
      <c r="A34" s="18"/>
      <c r="B34" s="2"/>
      <c r="C34" s="25"/>
      <c r="D34" s="25"/>
      <c r="E34" s="28"/>
      <c r="F34" s="28"/>
      <c r="G34" s="73"/>
      <c r="H34" s="73"/>
      <c r="J34" s="89"/>
    </row>
    <row r="35" spans="1:12" ht="13" x14ac:dyDescent="0.3">
      <c r="A35" s="18"/>
      <c r="B35" s="2" t="s">
        <v>55</v>
      </c>
      <c r="C35" s="25">
        <v>786.74</v>
      </c>
      <c r="D35" s="25">
        <v>787</v>
      </c>
      <c r="E35" s="28">
        <v>0</v>
      </c>
      <c r="F35" s="28">
        <v>683</v>
      </c>
      <c r="G35" s="113">
        <v>683</v>
      </c>
      <c r="H35" s="113">
        <v>683.11</v>
      </c>
    </row>
    <row r="36" spans="1:12" ht="13" x14ac:dyDescent="0.3">
      <c r="A36" s="18"/>
      <c r="B36" s="2"/>
      <c r="C36" s="25"/>
      <c r="D36" s="25"/>
      <c r="E36" s="28"/>
      <c r="F36" s="28"/>
      <c r="G36" s="73"/>
      <c r="H36" s="73"/>
      <c r="J36" s="89"/>
    </row>
    <row r="37" spans="1:12" ht="13" x14ac:dyDescent="0.3">
      <c r="A37" s="18"/>
      <c r="B37" s="2" t="s">
        <v>56</v>
      </c>
      <c r="C37" s="25">
        <v>7157.75</v>
      </c>
      <c r="D37" s="25">
        <v>25151.03</v>
      </c>
      <c r="E37" s="28">
        <v>0</v>
      </c>
      <c r="F37" s="28">
        <v>0</v>
      </c>
      <c r="G37" s="113">
        <v>0</v>
      </c>
      <c r="H37" s="113">
        <v>0</v>
      </c>
    </row>
    <row r="38" spans="1:12" ht="13" x14ac:dyDescent="0.3">
      <c r="A38" s="18"/>
      <c r="B38" s="2"/>
      <c r="C38" s="25"/>
      <c r="D38" s="23"/>
      <c r="E38" s="22"/>
      <c r="F38" s="22"/>
      <c r="G38" s="73"/>
      <c r="H38" s="73"/>
      <c r="J38" s="89"/>
    </row>
    <row r="39" spans="1:12" ht="13" x14ac:dyDescent="0.3">
      <c r="A39" s="18"/>
      <c r="B39" s="115" t="s">
        <v>57</v>
      </c>
      <c r="C39" s="28">
        <v>4704667</v>
      </c>
      <c r="D39" s="116">
        <v>5556740</v>
      </c>
      <c r="E39" s="28">
        <v>6060212</v>
      </c>
      <c r="F39" s="28">
        <f>6797846.62-163000</f>
        <v>6634846.6200000001</v>
      </c>
      <c r="G39" s="113">
        <v>7114417</v>
      </c>
      <c r="H39" s="113">
        <v>7094073.5599999996</v>
      </c>
    </row>
    <row r="40" spans="1:12" ht="13" x14ac:dyDescent="0.3">
      <c r="A40" s="18"/>
      <c r="B40" s="2"/>
      <c r="C40" s="25"/>
      <c r="D40" s="25"/>
      <c r="E40" s="28"/>
      <c r="F40" s="28"/>
      <c r="G40" s="73"/>
      <c r="H40" s="73"/>
    </row>
    <row r="41" spans="1:12" ht="13" x14ac:dyDescent="0.3">
      <c r="A41" s="10"/>
      <c r="B41" s="2" t="s">
        <v>64</v>
      </c>
      <c r="C41" s="26">
        <v>8095.19</v>
      </c>
      <c r="D41" s="26">
        <v>4114.9799999999996</v>
      </c>
      <c r="E41" s="27">
        <v>3301</v>
      </c>
      <c r="F41" s="27">
        <f>1700</f>
        <v>1700</v>
      </c>
      <c r="G41" s="114">
        <v>-676</v>
      </c>
      <c r="H41" s="114">
        <v>2407.83</v>
      </c>
    </row>
    <row r="42" spans="1:12" ht="13" x14ac:dyDescent="0.3">
      <c r="A42" s="19"/>
      <c r="B42" s="2"/>
      <c r="C42" s="25"/>
      <c r="D42" s="25"/>
      <c r="E42" s="22"/>
      <c r="F42" s="22"/>
      <c r="G42" s="73"/>
      <c r="H42" s="73"/>
    </row>
    <row r="43" spans="1:12" ht="13.5" thickBot="1" x14ac:dyDescent="0.35">
      <c r="A43" s="18"/>
      <c r="B43" s="10"/>
      <c r="C43" s="29"/>
      <c r="D43" s="23"/>
      <c r="E43" s="22"/>
      <c r="F43" s="22"/>
      <c r="G43" s="73"/>
      <c r="H43" s="73"/>
    </row>
    <row r="44" spans="1:12" ht="13.5" thickBot="1" x14ac:dyDescent="0.35">
      <c r="A44" s="75" t="s">
        <v>66</v>
      </c>
      <c r="B44" s="70"/>
      <c r="C44" s="76">
        <f t="shared" ref="C44:H44" si="2">+C18+C33+C35+C37+C39+C41</f>
        <v>5155653.4700000007</v>
      </c>
      <c r="D44" s="76">
        <f t="shared" si="2"/>
        <v>6319583.6200000001</v>
      </c>
      <c r="E44" s="76">
        <f t="shared" si="2"/>
        <v>6907697</v>
      </c>
      <c r="F44" s="76">
        <f t="shared" si="2"/>
        <v>7649549.6200000001</v>
      </c>
      <c r="G44" s="76">
        <f t="shared" si="2"/>
        <v>8100301.0099999998</v>
      </c>
      <c r="H44" s="76">
        <f t="shared" si="2"/>
        <v>8061661.8199999994</v>
      </c>
      <c r="J44" s="89"/>
    </row>
    <row r="45" spans="1:12" ht="13.5" thickBot="1" x14ac:dyDescent="0.35">
      <c r="A45" s="19"/>
      <c r="B45" s="2"/>
      <c r="C45" s="25"/>
      <c r="D45" s="23"/>
      <c r="E45" s="22"/>
      <c r="F45" s="22"/>
      <c r="G45" s="73"/>
      <c r="H45" s="73"/>
    </row>
    <row r="46" spans="1:12" ht="13.5" thickBot="1" x14ac:dyDescent="0.35">
      <c r="A46" s="78" t="s">
        <v>58</v>
      </c>
      <c r="B46" s="70"/>
      <c r="C46" s="76">
        <f t="shared" ref="C46:H46" si="3">+C14-C44</f>
        <v>81517.55999999959</v>
      </c>
      <c r="D46" s="76">
        <f t="shared" si="3"/>
        <v>26400.799999998882</v>
      </c>
      <c r="E46" s="77">
        <f t="shared" si="3"/>
        <v>41235</v>
      </c>
      <c r="F46" s="77">
        <f t="shared" si="3"/>
        <v>31284.379999999888</v>
      </c>
      <c r="G46" s="76">
        <f t="shared" si="3"/>
        <v>28632.990000000224</v>
      </c>
      <c r="H46" s="76">
        <f t="shared" si="3"/>
        <v>243633.60000000056</v>
      </c>
    </row>
    <row r="47" spans="1:12" ht="13" x14ac:dyDescent="0.3">
      <c r="A47" s="11" t="s">
        <v>59</v>
      </c>
      <c r="D47" s="9"/>
    </row>
  </sheetData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defaultColWidth="11.54296875" defaultRowHeight="12.5" x14ac:dyDescent="0.25"/>
  <sheetData/>
  <phoneticPr fontId="0" type="noConversion"/>
  <pageMargins left="0.75" right="0.75" top="1" bottom="1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defaultColWidth="11.54296875" defaultRowHeight="12.5" x14ac:dyDescent="0.25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BALANCE SHEET 2017-18-19-20</vt:lpstr>
      <vt:lpstr>PL 2017-18-19-20</vt:lpstr>
      <vt:lpstr>Feuil2</vt:lpstr>
      <vt:lpstr>Feuil3</vt:lpstr>
      <vt:lpstr>'PL 2017-18-19-20'!Print_Area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Peggy Sailler</cp:lastModifiedBy>
  <cp:lastPrinted>2017-03-12T14:57:45Z</cp:lastPrinted>
  <dcterms:created xsi:type="dcterms:W3CDTF">2007-02-16T13:07:00Z</dcterms:created>
  <dcterms:modified xsi:type="dcterms:W3CDTF">2021-03-22T07:24:02Z</dcterms:modified>
</cp:coreProperties>
</file>